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<sst xmlns="http://schemas.openxmlformats.org/spreadsheetml/2006/main" count="1219" uniqueCount="246">
  <si>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</si>
  <si>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</si>
  <si>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</si>
  <si>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</si>
  <si>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</si>
  <si>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</si>
  <si>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</si>
  <si>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</si>
  <si>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</si>
  <si>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</si>
  <si>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</si>
  <si>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</si>
  <si>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</si>
  <si>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</si>
  <si>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</si>
  <si>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</si>
  <si>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</si>
  <si>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</si>
  <si>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</si>
  <si>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</si>
  <si>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</si>
  <si>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</si>
  <si>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</si>
  <si>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</si>
  <si>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</si>
  <si>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</si>
  <si>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</si>
  <si>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</si>
  <si>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</si>
  <si>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</si>
  <si>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</si>
  <si>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</si>
  <si>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</si>
  <si>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</si>
  <si>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</si>
  <si>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</si>
  <si>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</si>
  <si>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</si>
  <si>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</si>
  <si>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</si>
  <si>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</si>
  <si>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</si>
  <si>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</si>
  <si>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</si>
  <si>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</si>
  <si>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</si>
  <si>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</si>
  <si>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</si>
  <si>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</si>
  <si>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</si>
  <si>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</si>
  <si>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</si>
  <si>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</si>
  <si>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</si>
  <si>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</si>
  <si>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</si>
  <si>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</si>
  <si>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</si>
  <si>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</si>
  <si>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</si>
  <si>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</si>
  <si>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</si>
  <si>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</si>
  <si>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</si>
  <si>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</si>
  <si>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</si>
  <si>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</si>
  <si>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</si>
  <si>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</si>
  <si>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</si>
  <si>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</si>
  <si>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</si>
  <si>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</si>
  <si>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</si>
  <si>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</si>
  <si>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</si>
  <si>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</si>
  <si>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</si>
  <si>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</si>
  <si>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</si>
  <si>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</si>
  <si>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</si>
  <si>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</si>
  <si>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</si>
  <si>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</si>
  <si>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</si>
  <si>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</si>
  <si>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</si>
  <si>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</si>
  <si>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</si>
  <si>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</si>
  <si>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</si>
  <si>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</si>
  <si>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</si>
  <si>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</si>
  <si>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</si>
  <si>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</si>
  <si>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</si>
  <si>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</si>
  <si>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</si>
  <si>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</si>
  <si>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</si>
  <si>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</si>
  <si>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</si>
  <si>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</si>
  <si>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</si>
  <si>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</si>
  <si>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</si>
  <si>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</si>
  <si>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</si>
  <si>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</si>
  <si>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</si>
  <si>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</si>
  <si>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</si>
  <si>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</si>
  <si>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</si>
  <si>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</si>
  <si>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</si>
  <si>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</si>
  <si>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</si>
  <si>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</si>
  <si>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</si>
  <si>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</si>
  <si>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</si>
  <si>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</si>
  <si>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</si>
  <si>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</si>
  <si>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</si>
  <si>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</si>
  <si>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</si>
  <si>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</si>
  <si>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</si>
  <si>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</si>
  <si>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</si>
  <si>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</si>
  <si>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</si>
  <si>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</si>
  <si>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</si>
  <si>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</si>
  <si>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</si>
  <si>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</si>
  <si>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</si>
  <si>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</si>
  <si>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</si>
  <si>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</si>
  <si>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</si>
  <si>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</si>
  <si>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</si>
  <si>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</si>
  <si>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</si>
  <si>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</si>
  <si>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</si>
  <si>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</si>
  <si>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</si>
  <si>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</si>
  <si>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</si>
  <si>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</si>
  <si>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</si>
  <si>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</si>
  <si>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</si>
  <si>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</si>
  <si>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</si>
  <si>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</si>
  <si>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</si>
  <si>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</si>
  <si>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</si>
  <si>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</si>
  <si>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</si>
  <si>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</si>
  <si>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</si>
  <si>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</si>
  <si>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</si>
  <si>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</si>
  <si>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</si>
  <si>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</si>
  <si>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</si>
  <si>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</si>
  <si>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</si>
  <si>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</si>
  <si>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</si>
  <si>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</si>
  <si>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</si>
  <si>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</si>
  <si>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</si>
  <si>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</si>
  <si>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</si>
  <si>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</si>
  <si>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</si>
  <si>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</si>
  <si>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</si>
  <si>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</si>
  <si>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</si>
  <si>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</si>
  <si>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</si>
  <si>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</si>
  <si>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</si>
  <si>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</si>
  <si>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</si>
  <si>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</si>
  <si>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</si>
  <si>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</si>
  <si>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</si>
  <si>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</si>
  <si>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</si>
  <si>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</si>
  <si>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</si>
  <si>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</si>
  <si>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</si>
  <si>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</si>
  <si>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</si>
  <si>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</si>
  <si>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</si>
  <si>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</si>
  <si>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</si>
  <si>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</si>
  <si>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</si>
  <si>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</si>
  <si>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</si>
  <si>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</si>
  <si>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</si>
  <si>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</si>
  <si>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</si>
  <si>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</si>
  <si>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</si>
  <si>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</si>
  <si>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</si>
  <si>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</si>
  <si>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</si>
  <si>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</si>
  <si>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</si>
  <si>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</si>
  <si>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</si>
  <si>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</si>
  <si>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</si>
  <si>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</si>
  <si>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</si>
  <si>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</si>
  <si>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03.06.2014</t>
    </r>
    <r>
      <rPr>
        <b/>
        <sz val="16"/>
        <rFont val="Times New Roman"/>
        <family val="1"/>
      </rPr>
      <t>р.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</si>
  <si>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</si>
  <si>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</si>
  <si>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</si>
  <si>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</si>
  <si>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</si>
  <si>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</si>
  <si>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</si>
  <si>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02.06.14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</si>
</sst>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6"/>
      <sheetName val="депозит"/>
      <sheetName val="залишки  (2)"/>
      <sheetName val="надх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119064587.69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105239365.72999999</v>
          </cell>
        </row>
      </sheetData>
      <sheetData sheetId="13">
        <row r="52">
          <cell r="B52">
            <v>26313497.259999998</v>
          </cell>
        </row>
      </sheetData>
      <sheetData sheetId="17">
        <row r="28">
          <cell r="C28">
            <v>4870376.3</v>
          </cell>
        </row>
      </sheetData>
      <sheetData sheetId="18">
        <row r="28">
          <cell r="C28">
            <v>3219411</v>
          </cell>
        </row>
      </sheetData>
      <sheetData sheetId="19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77" sqref="F7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5" t="s">
        <v>237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224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225</v>
      </c>
      <c r="N3" s="177" t="s">
        <v>244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239</v>
      </c>
      <c r="H4" s="180" t="s">
        <v>240</v>
      </c>
      <c r="I4" s="182" t="s">
        <v>188</v>
      </c>
      <c r="J4" s="184" t="s">
        <v>189</v>
      </c>
      <c r="K4" s="186" t="s">
        <v>241</v>
      </c>
      <c r="L4" s="187"/>
      <c r="M4" s="176"/>
      <c r="N4" s="194" t="s">
        <v>245</v>
      </c>
      <c r="O4" s="182" t="s">
        <v>136</v>
      </c>
      <c r="P4" s="182" t="s">
        <v>135</v>
      </c>
      <c r="Q4" s="186" t="s">
        <v>243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238</v>
      </c>
      <c r="F5" s="179"/>
      <c r="G5" s="164"/>
      <c r="H5" s="181"/>
      <c r="I5" s="183"/>
      <c r="J5" s="185"/>
      <c r="K5" s="188"/>
      <c r="L5" s="189"/>
      <c r="M5" s="151" t="s">
        <v>242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185582.93</v>
      </c>
      <c r="G8" s="22">
        <f aca="true" t="shared" si="0" ref="G8:G30">F8-E8</f>
        <v>-47683.600000000006</v>
      </c>
      <c r="H8" s="51">
        <f>F8/E8*100</f>
        <v>79.55831897529406</v>
      </c>
      <c r="I8" s="36">
        <f aca="true" t="shared" si="1" ref="I8:I17">F8-D8</f>
        <v>-302893.37</v>
      </c>
      <c r="J8" s="36">
        <f aca="true" t="shared" si="2" ref="J8:J14">F8/D8*100</f>
        <v>37.99220760556858</v>
      </c>
      <c r="K8" s="36">
        <f>F8-227938.8</f>
        <v>-42355.869999999995</v>
      </c>
      <c r="L8" s="136">
        <f>F8/227938.8</f>
        <v>0.814178762018577</v>
      </c>
      <c r="M8" s="22">
        <f>M10+M19+M33+M56+M68+M30</f>
        <v>41595.47</v>
      </c>
      <c r="N8" s="22">
        <f>N10+N19+N33+N56+N68+N30</f>
        <v>777.7300000000032</v>
      </c>
      <c r="O8" s="36">
        <f aca="true" t="shared" si="3" ref="O8:O71">N8-M8</f>
        <v>-40817.74</v>
      </c>
      <c r="P8" s="36">
        <f>F8/M8*100</f>
        <v>446.1613969021146</v>
      </c>
      <c r="Q8" s="36">
        <f>N8-40804</f>
        <v>-40026.27</v>
      </c>
      <c r="R8" s="134">
        <f>N8/40804</f>
        <v>0.019060141162631192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149446.06</v>
      </c>
      <c r="G9" s="22">
        <f t="shared" si="0"/>
        <v>149446.06</v>
      </c>
      <c r="H9" s="20"/>
      <c r="I9" s="56">
        <f t="shared" si="1"/>
        <v>-237567.14</v>
      </c>
      <c r="J9" s="56">
        <f t="shared" si="2"/>
        <v>38.6152358627561</v>
      </c>
      <c r="K9" s="56"/>
      <c r="L9" s="135"/>
      <c r="M9" s="20">
        <f>M10+M17</f>
        <v>34434.5</v>
      </c>
      <c r="N9" s="20">
        <f>N10+N17</f>
        <v>685.9100000000035</v>
      </c>
      <c r="O9" s="36">
        <f t="shared" si="3"/>
        <v>-33748.59</v>
      </c>
      <c r="P9" s="56">
        <f>F9/M9*100</f>
        <v>434.0009583411985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149446.06</v>
      </c>
      <c r="G10" s="49">
        <f t="shared" si="0"/>
        <v>-41100.23999999999</v>
      </c>
      <c r="H10" s="40">
        <f aca="true" t="shared" si="4" ref="H10:H17">F10/E10*100</f>
        <v>78.43031326244592</v>
      </c>
      <c r="I10" s="56">
        <f t="shared" si="1"/>
        <v>-237567.14</v>
      </c>
      <c r="J10" s="56">
        <f t="shared" si="2"/>
        <v>38.6152358627561</v>
      </c>
      <c r="K10" s="141">
        <f>F10-179133.7</f>
        <v>-29687.640000000014</v>
      </c>
      <c r="L10" s="142">
        <f>F10/179133.7</f>
        <v>0.8342710500592574</v>
      </c>
      <c r="M10" s="40">
        <f>E10-травень!E10</f>
        <v>34434.5</v>
      </c>
      <c r="N10" s="40">
        <f>F10-травень!F10</f>
        <v>685.9100000000035</v>
      </c>
      <c r="O10" s="53">
        <f t="shared" si="3"/>
        <v>-33748.59</v>
      </c>
      <c r="P10" s="56">
        <f aca="true" t="shared" si="5" ref="P10:P17">N10/M10*100</f>
        <v>1.9919267014186455</v>
      </c>
      <c r="Q10" s="141">
        <f>N10-33294.7</f>
        <v>-32608.789999999994</v>
      </c>
      <c r="R10" s="142">
        <f>N10/33294.7</f>
        <v>0.020601176763869432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645.38</v>
      </c>
      <c r="G19" s="49">
        <f t="shared" si="0"/>
        <v>-377.22</v>
      </c>
      <c r="H19" s="40">
        <f aca="true" t="shared" si="6" ref="H19:H29">F19/E19*100</f>
        <v>63.11167611969489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F19-5620.4</f>
        <v>-4975.0199999999995</v>
      </c>
      <c r="L19" s="135">
        <f>F19/5620.4</f>
        <v>0.1148281261120205</v>
      </c>
      <c r="M19" s="40">
        <f>E19-травень!E19</f>
        <v>11</v>
      </c>
      <c r="N19" s="40">
        <f>F19-травень!F19</f>
        <v>0</v>
      </c>
      <c r="O19" s="53">
        <f t="shared" si="3"/>
        <v>-11</v>
      </c>
      <c r="P19" s="56">
        <f aca="true" t="shared" si="9" ref="P19:P29">N19/M19*100</f>
        <v>0</v>
      </c>
      <c r="Q19" s="56">
        <f>N19-465.3</f>
        <v>-465.3</v>
      </c>
      <c r="R19" s="135">
        <f>N19/465.3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805.66</v>
      </c>
      <c r="G29" s="49">
        <f t="shared" si="0"/>
        <v>43.059999999999945</v>
      </c>
      <c r="H29" s="40">
        <f t="shared" si="6"/>
        <v>105.64647259375819</v>
      </c>
      <c r="I29" s="56">
        <f t="shared" si="7"/>
        <v>-124.34000000000003</v>
      </c>
      <c r="J29" s="56">
        <f t="shared" si="8"/>
        <v>86.63010752688172</v>
      </c>
      <c r="K29" s="148">
        <f>F29-2001.3</f>
        <v>-1195.6399999999999</v>
      </c>
      <c r="L29" s="149">
        <f>F29/2001.3</f>
        <v>0.40256833058511965</v>
      </c>
      <c r="M29" s="40">
        <f>E29-травень!E29</f>
        <v>11</v>
      </c>
      <c r="N29" s="40">
        <f>F29-травень!F29</f>
        <v>0</v>
      </c>
      <c r="O29" s="148">
        <f t="shared" si="3"/>
        <v>-11</v>
      </c>
      <c r="P29" s="145">
        <f t="shared" si="9"/>
        <v>0</v>
      </c>
      <c r="Q29" s="148">
        <f>N29-403.3</f>
        <v>-403.3</v>
      </c>
      <c r="R29" s="149">
        <f>N29/403.3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32783.67</v>
      </c>
      <c r="G33" s="49">
        <f aca="true" t="shared" si="14" ref="G33:G72">F33-E33</f>
        <v>-5497.560000000005</v>
      </c>
      <c r="H33" s="40">
        <f aca="true" t="shared" si="15" ref="H33:H67">F33/E33*100</f>
        <v>85.63901943589586</v>
      </c>
      <c r="I33" s="56">
        <f>F33-D33</f>
        <v>-60782.33</v>
      </c>
      <c r="J33" s="56">
        <f aca="true" t="shared" si="16" ref="J33:J72">F33/D33*100</f>
        <v>35.038015945963274</v>
      </c>
      <c r="K33" s="141">
        <f>F33-39969.9</f>
        <v>-7186.230000000003</v>
      </c>
      <c r="L33" s="142">
        <f>F33/39969.9</f>
        <v>0.8202089572403233</v>
      </c>
      <c r="M33" s="40">
        <f>E33-травень!E33</f>
        <v>6540.770000000004</v>
      </c>
      <c r="N33" s="40">
        <f>F33-травень!F33</f>
        <v>79.15999999999985</v>
      </c>
      <c r="O33" s="53">
        <f t="shared" si="3"/>
        <v>-6461.610000000004</v>
      </c>
      <c r="P33" s="56">
        <f aca="true" t="shared" si="17" ref="P33:P67">N33/M33*100</f>
        <v>1.2102550617129146</v>
      </c>
      <c r="Q33" s="141">
        <f>N33-6504.1</f>
        <v>-6424.9400000000005</v>
      </c>
      <c r="R33" s="142">
        <f>N33/6504.1</f>
        <v>0.012170784582032848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24611.03</v>
      </c>
      <c r="G55" s="144">
        <f t="shared" si="14"/>
        <v>-3719.9000000000015</v>
      </c>
      <c r="H55" s="146">
        <f t="shared" si="15"/>
        <v>86.86982742889131</v>
      </c>
      <c r="I55" s="145">
        <f t="shared" si="18"/>
        <v>-45654.97</v>
      </c>
      <c r="J55" s="145">
        <f t="shared" si="16"/>
        <v>35.02551731989867</v>
      </c>
      <c r="K55" s="148">
        <f>F55-28815.15</f>
        <v>-4204.120000000003</v>
      </c>
      <c r="L55" s="149">
        <f>F55/28815.15</f>
        <v>0.8541003604006919</v>
      </c>
      <c r="M55" s="40">
        <f>E55-травень!E55</f>
        <v>4780.77</v>
      </c>
      <c r="N55" s="40">
        <f>F55-травень!F55</f>
        <v>72.84999999999854</v>
      </c>
      <c r="O55" s="148">
        <f t="shared" si="3"/>
        <v>-4707.920000000002</v>
      </c>
      <c r="P55" s="148">
        <f t="shared" si="17"/>
        <v>1.5238131096036525</v>
      </c>
      <c r="Q55" s="221">
        <f>N55-4583</f>
        <v>-4510.1500000000015</v>
      </c>
      <c r="R55" s="222">
        <f>N55/4583</f>
        <v>0.015895701505563724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0.23+2703.75</f>
        <v>2703.98</v>
      </c>
      <c r="G56" s="49">
        <f t="shared" si="14"/>
        <v>-694.3200000000002</v>
      </c>
      <c r="H56" s="40">
        <f t="shared" si="15"/>
        <v>79.56860783332841</v>
      </c>
      <c r="I56" s="56">
        <f t="shared" si="18"/>
        <v>-4156.02</v>
      </c>
      <c r="J56" s="56">
        <f t="shared" si="16"/>
        <v>39.41661807580175</v>
      </c>
      <c r="K56" s="56">
        <f>F56-3189.3</f>
        <v>-485.32000000000016</v>
      </c>
      <c r="L56" s="135">
        <f>F56/3189.3</f>
        <v>0.8478286771391841</v>
      </c>
      <c r="M56" s="40">
        <f>E56-травень!E56</f>
        <v>609.2000000000003</v>
      </c>
      <c r="N56" s="40">
        <f>F56-травень!F56</f>
        <v>12.659999999999854</v>
      </c>
      <c r="O56" s="53">
        <f t="shared" si="3"/>
        <v>-596.5400000000004</v>
      </c>
      <c r="P56" s="56">
        <f t="shared" si="17"/>
        <v>2.0781352593565083</v>
      </c>
      <c r="Q56" s="56">
        <f>N56-539.8</f>
        <v>-527.1400000000001</v>
      </c>
      <c r="R56" s="135">
        <f>N56/539.8</f>
        <v>0.02345313078918091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F68-0.4</f>
        <v>0.53</v>
      </c>
      <c r="L68" s="135"/>
      <c r="M68" s="40">
        <f>E68-травень!E68</f>
        <v>0</v>
      </c>
      <c r="N68" s="40">
        <f>F68-травень!F68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7428.5</v>
      </c>
      <c r="F74" s="22">
        <f>F77+F86+F88+F89+F94+F95+F96+F97+F99+F103+F87</f>
        <v>5357.579999999999</v>
      </c>
      <c r="G74" s="50">
        <f aca="true" t="shared" si="24" ref="G74:G92">F74-E74</f>
        <v>-2070.920000000001</v>
      </c>
      <c r="H74" s="51">
        <f aca="true" t="shared" si="25" ref="H74:H87">F74/E74*100</f>
        <v>72.1219627111799</v>
      </c>
      <c r="I74" s="36">
        <f aca="true" t="shared" si="26" ref="I74:I92">F74-D74</f>
        <v>-13000.720000000001</v>
      </c>
      <c r="J74" s="36">
        <f aca="true" t="shared" si="27" ref="J74:J92">F74/D74*100</f>
        <v>29.18342112287085</v>
      </c>
      <c r="K74" s="36">
        <f>F74-9149.2</f>
        <v>-3791.6200000000017</v>
      </c>
      <c r="L74" s="136">
        <f>F74/9149.2</f>
        <v>0.5855790670222532</v>
      </c>
      <c r="M74" s="22">
        <f>M77+M86+M88+M89+M94+M95+M96+M97+M99+M87+M103</f>
        <v>1500.5</v>
      </c>
      <c r="N74" s="22">
        <f>N77+N86+N88+N89+N94+N95+N96+N97+N99+N32+N103+N87</f>
        <v>9.289999999999829</v>
      </c>
      <c r="O74" s="55">
        <f aca="true" t="shared" si="28" ref="O74:O92">N74-M74</f>
        <v>-1491.2100000000003</v>
      </c>
      <c r="P74" s="36">
        <f>N74/M74*100</f>
        <v>0.6191269576807616</v>
      </c>
      <c r="Q74" s="36">
        <f>N74-1610.7</f>
        <v>-1601.4100000000003</v>
      </c>
      <c r="R74" s="136">
        <f>N74/1610.7</f>
        <v>0.005767678649034475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5.08</v>
      </c>
      <c r="G88" s="49">
        <f t="shared" si="24"/>
        <v>3.08</v>
      </c>
      <c r="H88" s="40">
        <f>F88/E88*100</f>
        <v>254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E88-травень!E88</f>
        <v>0.5</v>
      </c>
      <c r="N88" s="40">
        <f>F88-травень!F88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47.26</v>
      </c>
      <c r="G89" s="49">
        <f t="shared" si="24"/>
        <v>-36.74</v>
      </c>
      <c r="H89" s="40">
        <f>F89/E89*100</f>
        <v>56.26190476190476</v>
      </c>
      <c r="I89" s="56">
        <f t="shared" si="26"/>
        <v>-127.74000000000001</v>
      </c>
      <c r="J89" s="56">
        <f t="shared" si="27"/>
        <v>27.005714285714284</v>
      </c>
      <c r="K89" s="56">
        <f>F89-81.2</f>
        <v>-33.940000000000005</v>
      </c>
      <c r="L89" s="135">
        <f>F89/81.2</f>
        <v>0.5820197044334975</v>
      </c>
      <c r="M89" s="40">
        <f>E89-травень!E89</f>
        <v>15</v>
      </c>
      <c r="N89" s="40">
        <f>F89-травень!F89</f>
        <v>0.1699999999999946</v>
      </c>
      <c r="O89" s="53">
        <f t="shared" si="28"/>
        <v>-14.830000000000005</v>
      </c>
      <c r="P89" s="56">
        <f>N89/M89*100</f>
        <v>1.1333333333332973</v>
      </c>
      <c r="Q89" s="56">
        <f>N89-7.8</f>
        <v>-7.630000000000005</v>
      </c>
      <c r="R89" s="135">
        <f>N89/7.8</f>
        <v>0.021794871794871103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2962.16</v>
      </c>
      <c r="G95" s="49">
        <f t="shared" si="31"/>
        <v>-569.3400000000001</v>
      </c>
      <c r="H95" s="40">
        <f>F95/E95*100</f>
        <v>83.87823870876397</v>
      </c>
      <c r="I95" s="56">
        <f t="shared" si="32"/>
        <v>-4037.84</v>
      </c>
      <c r="J95" s="56">
        <f>F95/D95*100</f>
        <v>42.31657142857143</v>
      </c>
      <c r="K95" s="56">
        <f>F95-3630.2</f>
        <v>-668.04</v>
      </c>
      <c r="L95" s="135">
        <f>F95/3630.2</f>
        <v>0.8159770811525536</v>
      </c>
      <c r="M95" s="40">
        <f>E95-травень!E95</f>
        <v>575</v>
      </c>
      <c r="N95" s="40">
        <f>F95-травень!F95</f>
        <v>0</v>
      </c>
      <c r="O95" s="53">
        <f t="shared" si="33"/>
        <v>-575</v>
      </c>
      <c r="P95" s="56">
        <f>N95/M95*100</f>
        <v>0</v>
      </c>
      <c r="Q95" s="56">
        <f>N95-681.8</f>
        <v>-681.8</v>
      </c>
      <c r="R95" s="135">
        <f>N95/681.8</f>
        <v>0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357.43</v>
      </c>
      <c r="G96" s="49">
        <f t="shared" si="31"/>
        <v>-117.07</v>
      </c>
      <c r="H96" s="40">
        <f>F96/E96*100</f>
        <v>75.3277133825079</v>
      </c>
      <c r="I96" s="56">
        <f t="shared" si="32"/>
        <v>-842.5699999999999</v>
      </c>
      <c r="J96" s="56">
        <f>F96/D96*100</f>
        <v>29.785833333333333</v>
      </c>
      <c r="K96" s="56">
        <f>F96-463.2</f>
        <v>-105.76999999999998</v>
      </c>
      <c r="L96" s="135">
        <f>F96/463.2</f>
        <v>0.7716537132987911</v>
      </c>
      <c r="M96" s="40">
        <f>E96-травень!E96</f>
        <v>100</v>
      </c>
      <c r="N96" s="40">
        <f>F96-травень!F96</f>
        <v>6.449999999999989</v>
      </c>
      <c r="O96" s="53">
        <f t="shared" si="33"/>
        <v>-93.55000000000001</v>
      </c>
      <c r="P96" s="56">
        <f>N96/M96*100</f>
        <v>6.449999999999989</v>
      </c>
      <c r="Q96" s="56">
        <f>N96-89.2</f>
        <v>-82.75000000000001</v>
      </c>
      <c r="R96" s="135">
        <f>N96/89.2</f>
        <v>0.07230941704035862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F97-16.2</f>
        <v>-16.2</v>
      </c>
      <c r="L97" s="135">
        <f>F97/16.2</f>
        <v>0</v>
      </c>
      <c r="M97" s="40">
        <f>E97-травень!E97</f>
        <v>0</v>
      </c>
      <c r="N97" s="40">
        <f>F97-травень!F97</f>
        <v>0</v>
      </c>
      <c r="O97" s="53">
        <f t="shared" si="33"/>
        <v>0</v>
      </c>
      <c r="P97" s="56"/>
      <c r="Q97" s="56">
        <f>N97-0.9</f>
        <v>-0.9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v>1652.6</v>
      </c>
      <c r="G99" s="49">
        <f t="shared" si="31"/>
        <v>-184.4000000000001</v>
      </c>
      <c r="H99" s="40">
        <f>F99/E99*100</f>
        <v>89.96189439303211</v>
      </c>
      <c r="I99" s="56">
        <f t="shared" si="32"/>
        <v>-2920.1</v>
      </c>
      <c r="J99" s="56">
        <f>F99/D99*100</f>
        <v>36.14057340302229</v>
      </c>
      <c r="K99" s="56">
        <f>F99-1991.7</f>
        <v>-339.10000000000014</v>
      </c>
      <c r="L99" s="135">
        <f>F99/1991.7</f>
        <v>0.8297434352563137</v>
      </c>
      <c r="M99" s="40">
        <f>E99-травень!E99</f>
        <v>330</v>
      </c>
      <c r="N99" s="40">
        <f>F99-травень!F99</f>
        <v>2.6699999999998454</v>
      </c>
      <c r="O99" s="53">
        <f t="shared" si="33"/>
        <v>-327.33000000000015</v>
      </c>
      <c r="P99" s="56">
        <f>N99/M99*100</f>
        <v>0.8090909090908623</v>
      </c>
      <c r="Q99" s="56">
        <f>N99-325.9</f>
        <v>-323.23000000000013</v>
      </c>
      <c r="R99" s="135">
        <f>N99/325.9</f>
        <v>0.008192697146363441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293.1</v>
      </c>
      <c r="G102" s="144"/>
      <c r="H102" s="146"/>
      <c r="I102" s="145"/>
      <c r="J102" s="145"/>
      <c r="K102" s="148">
        <f>F102-244.8</f>
        <v>48.30000000000001</v>
      </c>
      <c r="L102" s="149">
        <f>F102/244.8</f>
        <v>1.1973039215686274</v>
      </c>
      <c r="M102" s="40">
        <f>E102-травень!E102</f>
        <v>0</v>
      </c>
      <c r="N102" s="40">
        <f>F102-травень!F102</f>
        <v>1.900000000000034</v>
      </c>
      <c r="O102" s="53"/>
      <c r="P102" s="60"/>
      <c r="Q102" s="60">
        <f>N102-60.1</f>
        <v>-58.19999999999997</v>
      </c>
      <c r="R102" s="138">
        <f>N102/60.1</f>
        <v>0.03161397670549142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E103-травень!E103</f>
        <v>0</v>
      </c>
      <c r="N103" s="40">
        <f>F103-травень!F103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15.2</v>
      </c>
      <c r="F104" s="57">
        <v>11.67</v>
      </c>
      <c r="G104" s="49">
        <f>F104-E104</f>
        <v>-3.5299999999999994</v>
      </c>
      <c r="H104" s="40">
        <f>F104/E104*100</f>
        <v>76.7763157894737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F104-13.4</f>
        <v>-1.7300000000000004</v>
      </c>
      <c r="L104" s="135">
        <f>F104/13.4</f>
        <v>0.8708955223880597</v>
      </c>
      <c r="M104" s="40">
        <f>E104-травень!E104</f>
        <v>3</v>
      </c>
      <c r="N104" s="40">
        <f>F104-травень!F104</f>
        <v>0</v>
      </c>
      <c r="O104" s="53">
        <f t="shared" si="35"/>
        <v>-3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E105-травень!E105</f>
        <v>0</v>
      </c>
      <c r="N105" s="40">
        <f>F105-травень!F105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240710.23</v>
      </c>
      <c r="F106" s="22">
        <f>F8+F74+F104+F105</f>
        <v>190952.22</v>
      </c>
      <c r="G106" s="50">
        <f>F106-E106</f>
        <v>-49758.01000000001</v>
      </c>
      <c r="H106" s="51">
        <f>F106/E106*100</f>
        <v>79.32866833287476</v>
      </c>
      <c r="I106" s="36">
        <f t="shared" si="34"/>
        <v>-315927.38</v>
      </c>
      <c r="J106" s="36">
        <f t="shared" si="36"/>
        <v>37.672105959679584</v>
      </c>
      <c r="K106" s="36">
        <f>F106-237104</f>
        <v>-46151.78</v>
      </c>
      <c r="L106" s="136">
        <f>F106/237104</f>
        <v>0.805352166138066</v>
      </c>
      <c r="M106" s="22">
        <f>M8+M74+M104+M105</f>
        <v>43098.97</v>
      </c>
      <c r="N106" s="22">
        <f>N8+N74+N104+N105</f>
        <v>787.020000000003</v>
      </c>
      <c r="O106" s="55">
        <f t="shared" si="35"/>
        <v>-42311.95</v>
      </c>
      <c r="P106" s="36">
        <f>N106/M106*100</f>
        <v>1.826076122004779</v>
      </c>
      <c r="Q106" s="36">
        <f>N106-42414.8</f>
        <v>-41627.78</v>
      </c>
      <c r="R106" s="136">
        <f>N106/42414.8</f>
        <v>0.01855531559738589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191020.8</v>
      </c>
      <c r="F107" s="71">
        <f>F10-F18+F96</f>
        <v>149803.49</v>
      </c>
      <c r="G107" s="71">
        <f>G10-G18+G96</f>
        <v>-41217.30999999999</v>
      </c>
      <c r="H107" s="72">
        <f>F107/E107*100</f>
        <v>78.42260633396991</v>
      </c>
      <c r="I107" s="52">
        <f t="shared" si="34"/>
        <v>-238409.71000000002</v>
      </c>
      <c r="J107" s="52">
        <f t="shared" si="36"/>
        <v>38.58794342902302</v>
      </c>
      <c r="K107" s="52">
        <f>F107-179685.8</f>
        <v>-29882.309999999998</v>
      </c>
      <c r="L107" s="137">
        <f>F107/179685.8</f>
        <v>0.8336968753234814</v>
      </c>
      <c r="M107" s="71">
        <f>M10-M18+M96</f>
        <v>34534.5</v>
      </c>
      <c r="N107" s="71">
        <f>N10-N18+N96</f>
        <v>692.3600000000035</v>
      </c>
      <c r="O107" s="53">
        <f t="shared" si="35"/>
        <v>-33842.14</v>
      </c>
      <c r="P107" s="52">
        <f>N107/M107*100</f>
        <v>2.004835743966189</v>
      </c>
      <c r="Q107" s="52">
        <f>N107-33396.9</f>
        <v>-32704.539999999997</v>
      </c>
      <c r="R107" s="137">
        <f>N107/33396.9</f>
        <v>0.02073126547673597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49689.43000000002</v>
      </c>
      <c r="F108" s="71">
        <f>F106-F107</f>
        <v>41148.73000000001</v>
      </c>
      <c r="G108" s="62">
        <f>F108-E108</f>
        <v>-8540.700000000012</v>
      </c>
      <c r="H108" s="72">
        <f>F108/E108*100</f>
        <v>82.81183744711902</v>
      </c>
      <c r="I108" s="52">
        <f t="shared" si="34"/>
        <v>-77517.66999999995</v>
      </c>
      <c r="J108" s="52">
        <f t="shared" si="36"/>
        <v>34.675973990952805</v>
      </c>
      <c r="K108" s="52">
        <f>F108-57418.1</f>
        <v>-16269.369999999988</v>
      </c>
      <c r="L108" s="137">
        <f>F108/57418.1</f>
        <v>0.7166508470325561</v>
      </c>
      <c r="M108" s="71">
        <f>M106-M107</f>
        <v>8564.470000000001</v>
      </c>
      <c r="N108" s="71">
        <f>N106-N107</f>
        <v>94.65999999999951</v>
      </c>
      <c r="O108" s="53">
        <f t="shared" si="35"/>
        <v>-8469.810000000001</v>
      </c>
      <c r="P108" s="52">
        <f>N108/M108*100</f>
        <v>1.105263956788914</v>
      </c>
      <c r="Q108" s="52">
        <f>N108-9017.9</f>
        <v>-8923.24</v>
      </c>
      <c r="R108" s="137">
        <f>N108/9017.9</f>
        <v>0.010496900608789132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185650.9</v>
      </c>
      <c r="F109" s="71">
        <f>F107</f>
        <v>149803.49</v>
      </c>
      <c r="G109" s="111">
        <f>F109-E109</f>
        <v>-35847.41</v>
      </c>
      <c r="H109" s="72">
        <f>F109/E109*100</f>
        <v>80.69095813701954</v>
      </c>
      <c r="I109" s="81">
        <f t="shared" si="34"/>
        <v>-238409.71000000002</v>
      </c>
      <c r="J109" s="52">
        <f t="shared" si="36"/>
        <v>38.58794342902302</v>
      </c>
      <c r="K109" s="52"/>
      <c r="L109" s="137"/>
      <c r="M109" s="72">
        <f>E109-травень!E109</f>
        <v>34534.5</v>
      </c>
      <c r="N109" s="71">
        <f>N107</f>
        <v>692.3600000000035</v>
      </c>
      <c r="O109" s="118">
        <f t="shared" si="35"/>
        <v>-33842.14</v>
      </c>
      <c r="P109" s="52">
        <f>N109/M109*100</f>
        <v>2.004835743966189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0-травень!G109</f>
        <v>2005.2699999999895</v>
      </c>
      <c r="F111" s="84">
        <v>0</v>
      </c>
      <c r="G111" s="62">
        <f>F111-E111</f>
        <v>-2005.2699999999895</v>
      </c>
      <c r="H111" s="72"/>
      <c r="I111" s="85"/>
      <c r="J111" s="52"/>
      <c r="K111" s="52"/>
      <c r="L111" s="137"/>
      <c r="M111" s="159">
        <f>E111</f>
        <v>2005.2699999999895</v>
      </c>
      <c r="N111" s="84">
        <v>0</v>
      </c>
      <c r="O111" s="118">
        <f>N111-M111</f>
        <v>-2005.2699999999895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F113-7.8</f>
        <v>-8.94</v>
      </c>
      <c r="L113" s="138">
        <f>F113/7.8</f>
        <v>-0.14615384615384613</v>
      </c>
      <c r="M113" s="40">
        <f>E113-травень!E113</f>
        <v>0</v>
      </c>
      <c r="N113" s="40">
        <f>F113-травень!F113</f>
        <v>0</v>
      </c>
      <c r="O113" s="53"/>
      <c r="P113" s="60"/>
      <c r="Q113" s="60">
        <f>N113-1.1</f>
        <v>-1.1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1697.1</v>
      </c>
      <c r="F114" s="32">
        <v>503.86</v>
      </c>
      <c r="G114" s="49">
        <f t="shared" si="37"/>
        <v>-1193.2399999999998</v>
      </c>
      <c r="H114" s="40">
        <f aca="true" t="shared" si="39" ref="H114:H125">F114/E114*100</f>
        <v>29.68947027281834</v>
      </c>
      <c r="I114" s="60">
        <f t="shared" si="38"/>
        <v>-3167.64</v>
      </c>
      <c r="J114" s="60">
        <f aca="true" t="shared" si="40" ref="J114:J120">F114/D114*100</f>
        <v>13.723546234509056</v>
      </c>
      <c r="K114" s="60">
        <f>F114-1891.5</f>
        <v>-1387.6399999999999</v>
      </c>
      <c r="L114" s="138">
        <f>F114/1891.5</f>
        <v>0.26638117895849855</v>
      </c>
      <c r="M114" s="40">
        <f>E114-травень!E114</f>
        <v>327.5</v>
      </c>
      <c r="N114" s="40">
        <f>F114-травень!F114</f>
        <v>4.100000000000023</v>
      </c>
      <c r="O114" s="53">
        <f aca="true" t="shared" si="41" ref="O114:O125">N114-M114</f>
        <v>-323.4</v>
      </c>
      <c r="P114" s="60">
        <f>N114/M114*100</f>
        <v>1.2519083969465719</v>
      </c>
      <c r="Q114" s="60">
        <f>N114-276.6</f>
        <v>-272.5</v>
      </c>
      <c r="R114" s="138">
        <f>N114/276.6</f>
        <v>0.014822848879248092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134.5</v>
      </c>
      <c r="F115" s="32">
        <v>120.02</v>
      </c>
      <c r="G115" s="49">
        <f t="shared" si="37"/>
        <v>-14.480000000000004</v>
      </c>
      <c r="H115" s="40">
        <f t="shared" si="39"/>
        <v>89.23420074349441</v>
      </c>
      <c r="I115" s="60">
        <f t="shared" si="38"/>
        <v>-148.08000000000004</v>
      </c>
      <c r="J115" s="60">
        <f t="shared" si="40"/>
        <v>44.7668780305856</v>
      </c>
      <c r="K115" s="60">
        <f>F115-131.2</f>
        <v>-11.179999999999993</v>
      </c>
      <c r="L115" s="138">
        <f>F115/131.2</f>
        <v>0.9147865853658537</v>
      </c>
      <c r="M115" s="40">
        <f>E115-травень!E115</f>
        <v>22</v>
      </c>
      <c r="N115" s="40">
        <f>F115-травень!F115</f>
        <v>0.47999999999998977</v>
      </c>
      <c r="O115" s="53">
        <f t="shared" si="41"/>
        <v>-21.52000000000001</v>
      </c>
      <c r="P115" s="60">
        <f>N115/M115*100</f>
        <v>2.181818181818135</v>
      </c>
      <c r="Q115" s="60">
        <f>N115-25.8</f>
        <v>-25.32000000000001</v>
      </c>
      <c r="R115" s="138">
        <f>N115/25.8</f>
        <v>0.018604651162790302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1831.6</v>
      </c>
      <c r="F116" s="38">
        <f>SUM(F113:F115)</f>
        <v>622.74</v>
      </c>
      <c r="G116" s="62">
        <f t="shared" si="37"/>
        <v>-1208.86</v>
      </c>
      <c r="H116" s="72">
        <f t="shared" si="39"/>
        <v>33.999781611705615</v>
      </c>
      <c r="I116" s="61">
        <f t="shared" si="38"/>
        <v>-3316.8599999999997</v>
      </c>
      <c r="J116" s="61">
        <f t="shared" si="40"/>
        <v>15.807188547060615</v>
      </c>
      <c r="K116" s="61">
        <f>F116-2030.5</f>
        <v>-1407.76</v>
      </c>
      <c r="L116" s="139">
        <f>F116/2030.5</f>
        <v>0.3066929327751785</v>
      </c>
      <c r="M116" s="62">
        <f>M114+M115+M113</f>
        <v>349.5</v>
      </c>
      <c r="N116" s="38">
        <f>SUM(N113:N115)</f>
        <v>4.5800000000000125</v>
      </c>
      <c r="O116" s="61">
        <f t="shared" si="41"/>
        <v>-344.91999999999996</v>
      </c>
      <c r="P116" s="61">
        <f>N116/M116*100</f>
        <v>1.310443490701005</v>
      </c>
      <c r="Q116" s="61">
        <f>N116-303.5</f>
        <v>-298.91999999999996</v>
      </c>
      <c r="R116" s="139">
        <f>N116/303.5</f>
        <v>0.015090609555189498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109.5</v>
      </c>
      <c r="F118" s="33">
        <v>129.8</v>
      </c>
      <c r="G118" s="49">
        <f t="shared" si="37"/>
        <v>20.30000000000001</v>
      </c>
      <c r="H118" s="40">
        <f t="shared" si="39"/>
        <v>118.53881278538813</v>
      </c>
      <c r="I118" s="60">
        <f t="shared" si="38"/>
        <v>-137.39999999999998</v>
      </c>
      <c r="J118" s="60">
        <f t="shared" si="40"/>
        <v>48.57784431137725</v>
      </c>
      <c r="K118" s="60">
        <f>F118-95.9</f>
        <v>33.900000000000006</v>
      </c>
      <c r="L118" s="138">
        <f>F118/95.9</f>
        <v>1.353493222106361</v>
      </c>
      <c r="M118" s="40">
        <f>E118-травень!E118</f>
        <v>3</v>
      </c>
      <c r="N118" s="40">
        <f>F118-травень!F118</f>
        <v>0.05000000000001137</v>
      </c>
      <c r="O118" s="53">
        <f>N118-M118</f>
        <v>-2.9499999999999886</v>
      </c>
      <c r="P118" s="60">
        <f>N118/M118*100</f>
        <v>1.6666666666670455</v>
      </c>
      <c r="Q118" s="60">
        <f>N118-7.4</f>
        <v>-7.349999999999989</v>
      </c>
      <c r="R118" s="138">
        <f>N118/7.4</f>
        <v>0.006756756756758292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34212.6</v>
      </c>
      <c r="F119" s="33">
        <v>35261.65</v>
      </c>
      <c r="G119" s="49">
        <f t="shared" si="37"/>
        <v>1049.050000000003</v>
      </c>
      <c r="H119" s="40">
        <f t="shared" si="39"/>
        <v>103.06626798314072</v>
      </c>
      <c r="I119" s="53">
        <f t="shared" si="38"/>
        <v>-36714.340000000004</v>
      </c>
      <c r="J119" s="60">
        <f t="shared" si="40"/>
        <v>48.99085097683269</v>
      </c>
      <c r="K119" s="60">
        <f>F119-32510.8</f>
        <v>2750.850000000002</v>
      </c>
      <c r="L119" s="138">
        <f>F119/32510.8</f>
        <v>1.084613420770944</v>
      </c>
      <c r="M119" s="40">
        <f>E119-травень!E119</f>
        <v>2600</v>
      </c>
      <c r="N119" s="40">
        <f>F119-травень!F119</f>
        <v>87.43000000000029</v>
      </c>
      <c r="O119" s="53">
        <f t="shared" si="41"/>
        <v>-2512.5699999999997</v>
      </c>
      <c r="P119" s="60">
        <f aca="true" t="shared" si="42" ref="P119:P124">N119/M119*100</f>
        <v>3.3626923076923187</v>
      </c>
      <c r="Q119" s="60">
        <v>2488.2</v>
      </c>
      <c r="R119" s="138">
        <f>N119/2488.2</f>
        <v>0.03513785065509215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1667</v>
      </c>
      <c r="F120" s="33">
        <v>1611.93</v>
      </c>
      <c r="G120" s="49">
        <f t="shared" si="37"/>
        <v>-55.069999999999936</v>
      </c>
      <c r="H120" s="40">
        <f t="shared" si="39"/>
        <v>96.69646070785844</v>
      </c>
      <c r="I120" s="60">
        <f t="shared" si="38"/>
        <v>-8388.07</v>
      </c>
      <c r="J120" s="60">
        <f t="shared" si="40"/>
        <v>16.1193</v>
      </c>
      <c r="K120" s="60">
        <f>F120-624.6</f>
        <v>987.33</v>
      </c>
      <c r="L120" s="138">
        <f>F120/624.6</f>
        <v>2.5807396733909704</v>
      </c>
      <c r="M120" s="40">
        <f>E120-травень!E120</f>
        <v>19</v>
      </c>
      <c r="N120" s="40">
        <f>F120-травень!F120</f>
        <v>0</v>
      </c>
      <c r="O120" s="53">
        <f t="shared" si="41"/>
        <v>-19</v>
      </c>
      <c r="P120" s="60">
        <f t="shared" si="42"/>
        <v>0</v>
      </c>
      <c r="Q120" s="60">
        <f>N120-188.5</f>
        <v>-188.5</v>
      </c>
      <c r="R120" s="138">
        <f>N120/188.5</f>
        <v>0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4822.6</v>
      </c>
      <c r="F121" s="33">
        <v>2070.75</v>
      </c>
      <c r="G121" s="49">
        <f t="shared" si="37"/>
        <v>-2751.8500000000004</v>
      </c>
      <c r="H121" s="40">
        <f t="shared" si="39"/>
        <v>42.938456434288554</v>
      </c>
      <c r="I121" s="60">
        <f t="shared" si="38"/>
        <v>-21007.25</v>
      </c>
      <c r="J121" s="60">
        <f>F121/D121*100</f>
        <v>8.972831267874167</v>
      </c>
      <c r="K121" s="60">
        <f>F121-13847.9</f>
        <v>-11777.15</v>
      </c>
      <c r="L121" s="138">
        <f>F121/13847.9</f>
        <v>0.14953530860274844</v>
      </c>
      <c r="M121" s="40">
        <f>E121-травень!E121</f>
        <v>1767.2000000000003</v>
      </c>
      <c r="N121" s="40">
        <f>F121-травень!F121</f>
        <v>0</v>
      </c>
      <c r="O121" s="53">
        <f t="shared" si="41"/>
        <v>-1767.2000000000003</v>
      </c>
      <c r="P121" s="60">
        <f t="shared" si="42"/>
        <v>0</v>
      </c>
      <c r="Q121" s="60">
        <f>N121-6379.2</f>
        <v>-6379.2</v>
      </c>
      <c r="R121" s="138">
        <f>N121/6379.2</f>
        <v>0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862.45</v>
      </c>
      <c r="F122" s="33">
        <v>700.79</v>
      </c>
      <c r="G122" s="49">
        <f t="shared" si="37"/>
        <v>-161.66000000000008</v>
      </c>
      <c r="H122" s="40">
        <f t="shared" si="39"/>
        <v>81.25572496956345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E122-травень!E122</f>
        <v>189.59000000000003</v>
      </c>
      <c r="N122" s="40">
        <f>F122-травень!F122</f>
        <v>0</v>
      </c>
      <c r="O122" s="53">
        <f t="shared" si="41"/>
        <v>-189.59000000000003</v>
      </c>
      <c r="P122" s="60">
        <f t="shared" si="42"/>
        <v>0</v>
      </c>
      <c r="Q122" s="60">
        <f>N122-0</f>
        <v>0</v>
      </c>
      <c r="R122" s="138" t="e">
        <f>N122/0</f>
        <v>#DIV/0!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41674.149999999994</v>
      </c>
      <c r="F123" s="38">
        <f>F119+F120+F121+F122+F118</f>
        <v>39774.920000000006</v>
      </c>
      <c r="G123" s="62">
        <f t="shared" si="37"/>
        <v>-1899.2299999999886</v>
      </c>
      <c r="H123" s="72">
        <f t="shared" si="39"/>
        <v>95.44266649709715</v>
      </c>
      <c r="I123" s="61">
        <f t="shared" si="38"/>
        <v>-67546.26999999999</v>
      </c>
      <c r="J123" s="61">
        <f>F123/D123*100</f>
        <v>37.0615719039269</v>
      </c>
      <c r="K123" s="61">
        <f>F123-48279.1</f>
        <v>-8504.179999999993</v>
      </c>
      <c r="L123" s="139">
        <f>F123/48279.1</f>
        <v>0.8238538000915512</v>
      </c>
      <c r="M123" s="62">
        <f>M119+M120+M121+M122+M118</f>
        <v>4578.790000000001</v>
      </c>
      <c r="N123" s="62">
        <f>N119+N120+N121+N122+N118</f>
        <v>87.4800000000003</v>
      </c>
      <c r="O123" s="61">
        <f t="shared" si="41"/>
        <v>-4491.31</v>
      </c>
      <c r="P123" s="61">
        <f t="shared" si="42"/>
        <v>1.9105484199974292</v>
      </c>
      <c r="Q123" s="61">
        <f>N123-9063.3</f>
        <v>-8975.82</v>
      </c>
      <c r="R123" s="139">
        <f>N123/9063.3</f>
        <v>0.009652113468604185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17.16</v>
      </c>
      <c r="F124" s="33">
        <v>10.71</v>
      </c>
      <c r="G124" s="49">
        <f t="shared" si="37"/>
        <v>-6.449999999999999</v>
      </c>
      <c r="H124" s="40">
        <f t="shared" si="39"/>
        <v>62.41258741258741</v>
      </c>
      <c r="I124" s="60">
        <f t="shared" si="38"/>
        <v>-32.79</v>
      </c>
      <c r="J124" s="60">
        <f>F124/D124*100</f>
        <v>24.620689655172416</v>
      </c>
      <c r="K124" s="60">
        <f>F124-100.8</f>
        <v>-90.09</v>
      </c>
      <c r="L124" s="138">
        <f>F124/100.8</f>
        <v>0.10625000000000001</v>
      </c>
      <c r="M124" s="40">
        <f>E124-травень!E124</f>
        <v>3</v>
      </c>
      <c r="N124" s="40">
        <f>F124-травень!F124</f>
        <v>0</v>
      </c>
      <c r="O124" s="53">
        <f t="shared" si="41"/>
        <v>-3</v>
      </c>
      <c r="P124" s="60">
        <f t="shared" si="42"/>
        <v>0</v>
      </c>
      <c r="Q124" s="60">
        <f>N124-1.6</f>
        <v>-1.6</v>
      </c>
      <c r="R124" s="138">
        <f>N124/1.6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E125-травень!E125</f>
        <v>0</v>
      </c>
      <c r="N125" s="40">
        <f>F125-травень!F125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E126-травень!E126</f>
        <v>0</v>
      </c>
      <c r="N126" s="40">
        <f>F126-травень!F126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5012.5</v>
      </c>
      <c r="F127" s="33">
        <v>5292.86</v>
      </c>
      <c r="G127" s="49">
        <f aca="true" t="shared" si="43" ref="G127:G134">F127-E127</f>
        <v>280.3599999999997</v>
      </c>
      <c r="H127" s="40">
        <f>F127/E127*100</f>
        <v>105.59321695760597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F127-6301.4</f>
        <v>-1008.54</v>
      </c>
      <c r="L127" s="138">
        <f>F127/6301.4</f>
        <v>0.8399498524137493</v>
      </c>
      <c r="M127" s="40">
        <f>E127-травень!E127</f>
        <v>1</v>
      </c>
      <c r="N127" s="40">
        <f>F127-травень!F127</f>
        <v>0</v>
      </c>
      <c r="O127" s="53">
        <f aca="true" t="shared" si="45" ref="O127:O134">N127-M127</f>
        <v>-1</v>
      </c>
      <c r="P127" s="60">
        <f>N127/M127*100</f>
        <v>0</v>
      </c>
      <c r="Q127" s="60">
        <f>N127-12.3</f>
        <v>-12.3</v>
      </c>
      <c r="R127" s="162">
        <f>N127/12.3</f>
        <v>0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F128-(-0.4)</f>
        <v>0.44</v>
      </c>
      <c r="L128" s="138">
        <f>F128/(-0.4)</f>
        <v>-0.09999999999999999</v>
      </c>
      <c r="M128" s="40">
        <f>E128-травень!E128</f>
        <v>0</v>
      </c>
      <c r="N128" s="40">
        <f>F128-травень!F128</f>
        <v>0</v>
      </c>
      <c r="O128" s="53">
        <f t="shared" si="45"/>
        <v>0</v>
      </c>
      <c r="P128" s="60"/>
      <c r="Q128" s="60">
        <f>N128-0.1</f>
        <v>-0.1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5036.86</v>
      </c>
      <c r="F129" s="38">
        <f>F127+F124+F128+F126</f>
        <v>5321.37</v>
      </c>
      <c r="G129" s="62">
        <f t="shared" si="43"/>
        <v>284.5100000000002</v>
      </c>
      <c r="H129" s="72">
        <f>F129/E129*100</f>
        <v>105.64855882434692</v>
      </c>
      <c r="I129" s="61">
        <f t="shared" si="44"/>
        <v>-3429.330000000001</v>
      </c>
      <c r="J129" s="61">
        <f>F129/D129*100</f>
        <v>60.81079227947478</v>
      </c>
      <c r="K129" s="61">
        <f>F129-6410.2</f>
        <v>-1088.83</v>
      </c>
      <c r="L129" s="139">
        <f>G129/6410.2</f>
        <v>0.04438395057876513</v>
      </c>
      <c r="M129" s="62">
        <f>M124+M127+M128+M126</f>
        <v>4</v>
      </c>
      <c r="N129" s="62">
        <f>N124+N127+N128+N126</f>
        <v>0</v>
      </c>
      <c r="O129" s="61">
        <f t="shared" si="45"/>
        <v>-4</v>
      </c>
      <c r="P129" s="61">
        <f>N129/M129*100</f>
        <v>0</v>
      </c>
      <c r="Q129" s="61">
        <f>N129-14</f>
        <v>-14</v>
      </c>
      <c r="R129" s="137">
        <f>N129/14</f>
        <v>0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15.65</v>
      </c>
      <c r="F130" s="33">
        <v>13.15</v>
      </c>
      <c r="G130" s="49">
        <f>F130-E130</f>
        <v>-2.5</v>
      </c>
      <c r="H130" s="40">
        <f>F130/E130*100</f>
        <v>84.02555910543131</v>
      </c>
      <c r="I130" s="60">
        <f>F130-D130</f>
        <v>-16.85</v>
      </c>
      <c r="J130" s="60">
        <f>F130/D130*100</f>
        <v>43.833333333333336</v>
      </c>
      <c r="K130" s="60">
        <f>F130-16.8</f>
        <v>-3.6500000000000004</v>
      </c>
      <c r="L130" s="138">
        <f>F130/16.8</f>
        <v>0.7827380952380952</v>
      </c>
      <c r="M130" s="40">
        <f>E130-травень!E130</f>
        <v>7</v>
      </c>
      <c r="N130" s="40">
        <f>F130-травень!F130</f>
        <v>0</v>
      </c>
      <c r="O130" s="53">
        <f>N130-M130</f>
        <v>-7</v>
      </c>
      <c r="P130" s="60">
        <f>N130/M130*100</f>
        <v>0</v>
      </c>
      <c r="Q130" s="60">
        <f>N130-7.5</f>
        <v>-7.5</v>
      </c>
      <c r="R130" s="138">
        <f>N130/7.5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E131-травень!E131</f>
        <v>0</v>
      </c>
      <c r="N131" s="40">
        <f>F131-травень!F131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E132-травень!E132</f>
        <v>0</v>
      </c>
      <c r="N132" s="40">
        <f>F132-травень!F132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48558.259999999995</v>
      </c>
      <c r="F133" s="31">
        <f>F116+F130+F123+F129+F132+F131</f>
        <v>45732.18000000001</v>
      </c>
      <c r="G133" s="50">
        <f t="shared" si="43"/>
        <v>-2826.079999999987</v>
      </c>
      <c r="H133" s="51">
        <f>F133/E133*100</f>
        <v>94.18002210128618</v>
      </c>
      <c r="I133" s="36">
        <f t="shared" si="44"/>
        <v>-74309.31</v>
      </c>
      <c r="J133" s="36">
        <f>F133/D133*100</f>
        <v>38.09697796986693</v>
      </c>
      <c r="K133" s="36">
        <f>F133-56736.6</f>
        <v>-11004.419999999991</v>
      </c>
      <c r="L133" s="136">
        <f>F133/56736.6</f>
        <v>0.8060437178117831</v>
      </c>
      <c r="M133" s="31">
        <f>M116+M130+M123+M129+M132+M131</f>
        <v>4939.290000000001</v>
      </c>
      <c r="N133" s="31">
        <f>N116+N130+N123+N129+N132+N131</f>
        <v>92.06000000000031</v>
      </c>
      <c r="O133" s="36">
        <f t="shared" si="45"/>
        <v>-4847.2300000000005</v>
      </c>
      <c r="P133" s="36">
        <f>N133/M133*100</f>
        <v>1.863830631528019</v>
      </c>
      <c r="Q133" s="36">
        <f>N133-9388.2</f>
        <v>-9296.140000000001</v>
      </c>
      <c r="R133" s="136">
        <f>N133/9388.2</f>
        <v>0.009805926588696482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289268.49</v>
      </c>
      <c r="F134" s="31">
        <f>F106+F133</f>
        <v>236684.40000000002</v>
      </c>
      <c r="G134" s="50">
        <f t="shared" si="43"/>
        <v>-52584.08999999997</v>
      </c>
      <c r="H134" s="51">
        <f>F134/E134*100</f>
        <v>81.82170135433694</v>
      </c>
      <c r="I134" s="36">
        <f t="shared" si="44"/>
        <v>-390236.68999999994</v>
      </c>
      <c r="J134" s="36">
        <f>F134/D134*100</f>
        <v>37.75345953028953</v>
      </c>
      <c r="K134" s="36">
        <f>F134-293840.6</f>
        <v>-57156.19999999995</v>
      </c>
      <c r="L134" s="136">
        <f>F134/293840.6</f>
        <v>0.8054856953055501</v>
      </c>
      <c r="M134" s="22">
        <f>M106+M133</f>
        <v>48038.26</v>
      </c>
      <c r="N134" s="22">
        <f>N106+N133</f>
        <v>879.0800000000033</v>
      </c>
      <c r="O134" s="36">
        <f t="shared" si="45"/>
        <v>-47159.18</v>
      </c>
      <c r="P134" s="36">
        <f>N134/M134*100</f>
        <v>1.829958037614192</v>
      </c>
      <c r="Q134" s="36">
        <f>N134-51803</f>
        <v>-50923.92</v>
      </c>
      <c r="R134" s="136">
        <f>N134/51803</f>
        <v>0.01696967357102877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18</v>
      </c>
      <c r="D136" s="4" t="s">
        <v>118</v>
      </c>
    </row>
    <row r="137" spans="2:17" ht="31.5">
      <c r="B137" s="78" t="s">
        <v>154</v>
      </c>
      <c r="C137" s="39">
        <f>IF(O106&lt;0,ABS(O106/C136),0)</f>
        <v>2350.663888888889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41792</v>
      </c>
      <c r="D138" s="39">
        <v>787.1</v>
      </c>
      <c r="N138" s="191"/>
      <c r="O138" s="191"/>
    </row>
    <row r="139" spans="3:15" ht="15.75">
      <c r="C139" s="120">
        <v>41789</v>
      </c>
      <c r="D139" s="39">
        <v>2970.6</v>
      </c>
      <c r="F139" s="4" t="s">
        <v>166</v>
      </c>
      <c r="G139" s="192" t="s">
        <v>151</v>
      </c>
      <c r="H139" s="192"/>
      <c r="I139" s="115">
        <f>'[1]залишки  (2)'!$G$9/1000</f>
        <v>13825.22196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41788</v>
      </c>
      <c r="D140" s="39">
        <v>5993.3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f>'[1]залишки  (2)'!$G$8/1000</f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f>'[1]залишки  (2)'!$G$6/1000</f>
        <v>119064.58769</v>
      </c>
      <c r="E142" s="80"/>
      <c r="F142" s="100" t="s">
        <v>147</v>
      </c>
      <c r="G142" s="192" t="s">
        <v>149</v>
      </c>
      <c r="H142" s="192"/>
      <c r="I142" s="116">
        <f>'[1]залишки  (2)'!$G$10/1000</f>
        <v>105239.36572999999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f>'[1]надх'!$B$52/1000</f>
        <v>26313.497259999996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50" sqref="G15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5" t="s">
        <v>235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224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225</v>
      </c>
      <c r="N3" s="177" t="s">
        <v>233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229</v>
      </c>
      <c r="H4" s="180" t="s">
        <v>230</v>
      </c>
      <c r="I4" s="182" t="s">
        <v>188</v>
      </c>
      <c r="J4" s="184" t="s">
        <v>189</v>
      </c>
      <c r="K4" s="186" t="s">
        <v>231</v>
      </c>
      <c r="L4" s="187"/>
      <c r="M4" s="176"/>
      <c r="N4" s="194" t="s">
        <v>236</v>
      </c>
      <c r="O4" s="182" t="s">
        <v>136</v>
      </c>
      <c r="P4" s="182" t="s">
        <v>135</v>
      </c>
      <c r="Q4" s="186" t="s">
        <v>234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228</v>
      </c>
      <c r="F5" s="179"/>
      <c r="G5" s="164"/>
      <c r="H5" s="181"/>
      <c r="I5" s="183"/>
      <c r="J5" s="185"/>
      <c r="K5" s="188"/>
      <c r="L5" s="189"/>
      <c r="M5" s="151" t="s">
        <v>232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1"/>
      <c r="O138" s="191"/>
    </row>
    <row r="139" spans="3:15" ht="15.75">
      <c r="C139" s="120">
        <v>41788</v>
      </c>
      <c r="D139" s="39">
        <v>5993.3</v>
      </c>
      <c r="F139" s="4" t="s">
        <v>166</v>
      </c>
      <c r="G139" s="192" t="s">
        <v>151</v>
      </c>
      <c r="H139" s="192"/>
      <c r="I139" s="115">
        <v>13825.22196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41787</v>
      </c>
      <c r="D140" s="39">
        <v>2595.2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118982.48</v>
      </c>
      <c r="E142" s="80"/>
      <c r="F142" s="100" t="s">
        <v>147</v>
      </c>
      <c r="G142" s="192" t="s">
        <v>149</v>
      </c>
      <c r="H142" s="192"/>
      <c r="I142" s="116">
        <v>105157.26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27359.4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11" sqref="G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5" t="s">
        <v>226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224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225</v>
      </c>
      <c r="N3" s="177" t="s">
        <v>221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217</v>
      </c>
      <c r="H4" s="180" t="s">
        <v>218</v>
      </c>
      <c r="I4" s="182" t="s">
        <v>188</v>
      </c>
      <c r="J4" s="184" t="s">
        <v>189</v>
      </c>
      <c r="K4" s="186" t="s">
        <v>219</v>
      </c>
      <c r="L4" s="187"/>
      <c r="M4" s="176"/>
      <c r="N4" s="194" t="s">
        <v>227</v>
      </c>
      <c r="O4" s="182" t="s">
        <v>136</v>
      </c>
      <c r="P4" s="182" t="s">
        <v>135</v>
      </c>
      <c r="Q4" s="186" t="s">
        <v>222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216</v>
      </c>
      <c r="F5" s="179"/>
      <c r="G5" s="164"/>
      <c r="H5" s="181"/>
      <c r="I5" s="183"/>
      <c r="J5" s="185"/>
      <c r="K5" s="188"/>
      <c r="L5" s="189"/>
      <c r="M5" s="151" t="s">
        <v>220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1"/>
      <c r="O138" s="191"/>
    </row>
    <row r="139" spans="3:15" ht="15.75">
      <c r="C139" s="120">
        <v>41758</v>
      </c>
      <c r="D139" s="39">
        <v>5440.9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41757</v>
      </c>
      <c r="D140" s="39">
        <v>1923.2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123251.48</v>
      </c>
      <c r="E142" s="80"/>
      <c r="F142" s="100" t="s">
        <v>147</v>
      </c>
      <c r="G142" s="192" t="s">
        <v>149</v>
      </c>
      <c r="H142" s="192"/>
      <c r="I142" s="116">
        <v>109426.25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f>'[1]надх'!$B$52/1000</f>
        <v>26313.497259999996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5" t="s">
        <v>212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208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210</v>
      </c>
      <c r="N3" s="177" t="s">
        <v>198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207</v>
      </c>
      <c r="H4" s="180" t="s">
        <v>195</v>
      </c>
      <c r="I4" s="182" t="s">
        <v>188</v>
      </c>
      <c r="J4" s="184" t="s">
        <v>189</v>
      </c>
      <c r="K4" s="186" t="s">
        <v>196</v>
      </c>
      <c r="L4" s="187"/>
      <c r="M4" s="176"/>
      <c r="N4" s="194" t="s">
        <v>213</v>
      </c>
      <c r="O4" s="182" t="s">
        <v>136</v>
      </c>
      <c r="P4" s="182" t="s">
        <v>135</v>
      </c>
      <c r="Q4" s="186" t="s">
        <v>197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214</v>
      </c>
      <c r="F5" s="179"/>
      <c r="G5" s="164"/>
      <c r="H5" s="181"/>
      <c r="I5" s="183"/>
      <c r="J5" s="185"/>
      <c r="K5" s="188"/>
      <c r="L5" s="189"/>
      <c r="M5" s="151" t="s">
        <v>211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1"/>
      <c r="O138" s="191"/>
    </row>
    <row r="139" spans="3:15" ht="15.75">
      <c r="C139" s="120">
        <v>41726</v>
      </c>
      <c r="D139" s="39">
        <v>4682.6</v>
      </c>
      <c r="F139" s="4" t="s">
        <v>166</v>
      </c>
      <c r="G139" s="192" t="s">
        <v>151</v>
      </c>
      <c r="H139" s="192"/>
      <c r="I139" s="115">
        <v>13825.22196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41725</v>
      </c>
      <c r="D140" s="39">
        <v>3360.7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114985.02570999999</v>
      </c>
      <c r="E142" s="80"/>
      <c r="F142" s="100" t="s">
        <v>147</v>
      </c>
      <c r="G142" s="192" t="s">
        <v>149</v>
      </c>
      <c r="H142" s="192"/>
      <c r="I142" s="116">
        <v>101159.80375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3918.1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5" t="s">
        <v>193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205" t="s">
        <v>187</v>
      </c>
      <c r="E3" s="46"/>
      <c r="F3" s="206" t="s">
        <v>107</v>
      </c>
      <c r="G3" s="207"/>
      <c r="H3" s="207"/>
      <c r="I3" s="207"/>
      <c r="J3" s="208"/>
      <c r="K3" s="123"/>
      <c r="L3" s="123"/>
      <c r="M3" s="209" t="s">
        <v>190</v>
      </c>
      <c r="N3" s="204" t="s">
        <v>185</v>
      </c>
      <c r="O3" s="204"/>
      <c r="P3" s="204"/>
      <c r="Q3" s="204"/>
      <c r="R3" s="204"/>
    </row>
    <row r="4" spans="1:18" ht="22.5" customHeight="1">
      <c r="A4" s="167"/>
      <c r="B4" s="169"/>
      <c r="C4" s="170"/>
      <c r="D4" s="205"/>
      <c r="E4" s="210" t="s">
        <v>191</v>
      </c>
      <c r="F4" s="212" t="s">
        <v>116</v>
      </c>
      <c r="G4" s="214" t="s">
        <v>167</v>
      </c>
      <c r="H4" s="180" t="s">
        <v>168</v>
      </c>
      <c r="I4" s="216" t="s">
        <v>188</v>
      </c>
      <c r="J4" s="218" t="s">
        <v>189</v>
      </c>
      <c r="K4" s="125" t="s">
        <v>174</v>
      </c>
      <c r="L4" s="130" t="s">
        <v>173</v>
      </c>
      <c r="M4" s="209"/>
      <c r="N4" s="194" t="s">
        <v>194</v>
      </c>
      <c r="O4" s="216" t="s">
        <v>136</v>
      </c>
      <c r="P4" s="204" t="s">
        <v>135</v>
      </c>
      <c r="Q4" s="131" t="s">
        <v>174</v>
      </c>
      <c r="R4" s="132" t="s">
        <v>173</v>
      </c>
    </row>
    <row r="5" spans="1:18" ht="82.5" customHeight="1">
      <c r="A5" s="168"/>
      <c r="B5" s="169"/>
      <c r="C5" s="170"/>
      <c r="D5" s="205"/>
      <c r="E5" s="211"/>
      <c r="F5" s="213"/>
      <c r="G5" s="215"/>
      <c r="H5" s="181"/>
      <c r="I5" s="217"/>
      <c r="J5" s="219"/>
      <c r="K5" s="188" t="s">
        <v>184</v>
      </c>
      <c r="L5" s="189"/>
      <c r="M5" s="209"/>
      <c r="N5" s="195"/>
      <c r="O5" s="217"/>
      <c r="P5" s="204"/>
      <c r="Q5" s="188" t="s">
        <v>199</v>
      </c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1"/>
      <c r="O138" s="191"/>
    </row>
    <row r="139" spans="3:15" ht="15.75">
      <c r="C139" s="120">
        <v>41697</v>
      </c>
      <c r="D139" s="39">
        <v>2276.8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41696</v>
      </c>
      <c r="D140" s="39">
        <v>3746.1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f>'[1]залишки  (2)'!$G$8/1000</f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121970.53</v>
      </c>
      <c r="E142" s="80"/>
      <c r="F142" s="100" t="s">
        <v>147</v>
      </c>
      <c r="G142" s="192" t="s">
        <v>149</v>
      </c>
      <c r="H142" s="192"/>
      <c r="I142" s="116">
        <v>108145.31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0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5" t="s">
        <v>183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205" t="s">
        <v>192</v>
      </c>
      <c r="E3" s="46"/>
      <c r="F3" s="206" t="s">
        <v>107</v>
      </c>
      <c r="G3" s="207"/>
      <c r="H3" s="207"/>
      <c r="I3" s="207"/>
      <c r="J3" s="208"/>
      <c r="K3" s="123"/>
      <c r="L3" s="123"/>
      <c r="M3" s="184" t="s">
        <v>200</v>
      </c>
      <c r="N3" s="204" t="s">
        <v>178</v>
      </c>
      <c r="O3" s="204"/>
      <c r="P3" s="204"/>
      <c r="Q3" s="204"/>
      <c r="R3" s="204"/>
    </row>
    <row r="4" spans="1:18" ht="22.5" customHeight="1">
      <c r="A4" s="167"/>
      <c r="B4" s="169"/>
      <c r="C4" s="170"/>
      <c r="D4" s="205"/>
      <c r="E4" s="210" t="s">
        <v>153</v>
      </c>
      <c r="F4" s="212" t="s">
        <v>116</v>
      </c>
      <c r="G4" s="214" t="s">
        <v>175</v>
      </c>
      <c r="H4" s="180" t="s">
        <v>176</v>
      </c>
      <c r="I4" s="216" t="s">
        <v>188</v>
      </c>
      <c r="J4" s="218" t="s">
        <v>189</v>
      </c>
      <c r="K4" s="125" t="s">
        <v>174</v>
      </c>
      <c r="L4" s="130" t="s">
        <v>173</v>
      </c>
      <c r="M4" s="220"/>
      <c r="N4" s="194" t="s">
        <v>186</v>
      </c>
      <c r="O4" s="216" t="s">
        <v>136</v>
      </c>
      <c r="P4" s="204" t="s">
        <v>135</v>
      </c>
      <c r="Q4" s="131" t="s">
        <v>174</v>
      </c>
      <c r="R4" s="132" t="s">
        <v>173</v>
      </c>
    </row>
    <row r="5" spans="1:18" ht="82.5" customHeight="1">
      <c r="A5" s="168"/>
      <c r="B5" s="169"/>
      <c r="C5" s="170"/>
      <c r="D5" s="205"/>
      <c r="E5" s="211"/>
      <c r="F5" s="213"/>
      <c r="G5" s="215"/>
      <c r="H5" s="181"/>
      <c r="I5" s="217"/>
      <c r="J5" s="219"/>
      <c r="K5" s="188" t="s">
        <v>177</v>
      </c>
      <c r="L5" s="189"/>
      <c r="M5" s="185"/>
      <c r="N5" s="195"/>
      <c r="O5" s="217"/>
      <c r="P5" s="204"/>
      <c r="Q5" s="188" t="s">
        <v>179</v>
      </c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1"/>
      <c r="O138" s="191"/>
    </row>
    <row r="139" spans="3:15" ht="15.75">
      <c r="C139" s="120">
        <v>41669</v>
      </c>
      <c r="D139" s="39">
        <v>4752.2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41668</v>
      </c>
      <c r="D140" s="39">
        <v>1984.7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111410.62</v>
      </c>
      <c r="E142" s="80"/>
      <c r="F142" s="100" t="s">
        <v>147</v>
      </c>
      <c r="G142" s="192" t="s">
        <v>149</v>
      </c>
      <c r="H142" s="192"/>
      <c r="I142" s="116">
        <v>97585.4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0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2014-06-03T08:57:44Z</cp:lastPrinted>
  <dcterms:created xsi:type="dcterms:W3CDTF">2003-07-28T11:27:56Z</dcterms:created>
  <dcterms:modified xsi:type="dcterms:W3CDTF">2014-06-03T08:58:23Z</dcterms:modified>
  <cp:category/>
  <cp:version/>
  <cp:contentType/>
  <cp:contentStatus/>
</cp:coreProperties>
</file>